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20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<sst xmlns="http://schemas.openxmlformats.org/spreadsheetml/2006/main" count="75" uniqueCount="54">
  <si>
    <r>
      <t>Calcul valori contract BFT august - decembrie</t>
    </r>
    <r>
      <rPr>
        <b/>
        <sz val="8.5"/>
        <rFont val="Arial"/>
        <family val="2"/>
      </rPr>
      <t xml:space="preserve"> 2019</t>
    </r>
  </si>
  <si>
    <t>Anexa 1</t>
  </si>
  <si>
    <t>Buget alocat</t>
  </si>
  <si>
    <t>Aparate+sala+bazin=50% din buget=</t>
  </si>
  <si>
    <t>Punctaj cf eval</t>
  </si>
  <si>
    <t>Nr maxim de proceduri efectuate/ora</t>
  </si>
  <si>
    <t>Nr maxim de proceduri efectuate/ora de personal cf prg.lucru</t>
  </si>
  <si>
    <t>nr. Maxim de proceduri efect.pers/nr. Maxim de proceduri efect.aparate</t>
  </si>
  <si>
    <t>punctaj aparatura</t>
  </si>
  <si>
    <t>punctaj total</t>
  </si>
  <si>
    <t>Valoare de alocat</t>
  </si>
  <si>
    <t>denumire furnizor</t>
  </si>
  <si>
    <t>Punctaj aparate cf vechime</t>
  </si>
  <si>
    <t>sala kinetoterapie cf mp</t>
  </si>
  <si>
    <t>bazin hidrokinetoterapie</t>
  </si>
  <si>
    <t>Nr maxim de proceduri efectuate/ora de aparate</t>
  </si>
  <si>
    <t>Nr maxim de proceduri efectuate/ora de personal</t>
  </si>
  <si>
    <t>prg lucru personal/ norna baza</t>
  </si>
  <si>
    <t>tabel 1</t>
  </si>
  <si>
    <t>8=7/4</t>
  </si>
  <si>
    <t>9=1*8</t>
  </si>
  <si>
    <t>10=2+3+9</t>
  </si>
  <si>
    <t>11=10*val pct</t>
  </si>
  <si>
    <t>Sp. Judetean</t>
  </si>
  <si>
    <t>Sp. Pediatrie</t>
  </si>
  <si>
    <t xml:space="preserve">CMI dr.Rosca </t>
  </si>
  <si>
    <t xml:space="preserve">CMI dr.Tiron </t>
  </si>
  <si>
    <t>CMI dr.Calugaru</t>
  </si>
  <si>
    <t>Delfinul</t>
  </si>
  <si>
    <t>SC Fizioactiv SRL</t>
  </si>
  <si>
    <t>Sp. CF</t>
  </si>
  <si>
    <t>total</t>
  </si>
  <si>
    <t>valoare punct</t>
  </si>
  <si>
    <t>Personal=50% din buget=</t>
  </si>
  <si>
    <t>personal</t>
  </si>
  <si>
    <t>punctaj resurse umane</t>
  </si>
  <si>
    <t>nr ore norma baza</t>
  </si>
  <si>
    <t>nr ore lucrate de personal</t>
  </si>
  <si>
    <t>tabel 2</t>
  </si>
  <si>
    <t>2=1*val pct</t>
  </si>
  <si>
    <r>
      <t>2dr, 2(8h)k, 14a,</t>
    </r>
    <r>
      <rPr>
        <sz val="8.5"/>
        <rFont val="Arial"/>
        <family val="2"/>
      </rPr>
      <t xml:space="preserve"> 1b</t>
    </r>
  </si>
  <si>
    <t>3dr, 5k, 4a, 1m</t>
  </si>
  <si>
    <t xml:space="preserve">0,5(1)dr, 1k,7a,1m,1b </t>
  </si>
  <si>
    <t>1dr, 2(8h)k, 5a,</t>
  </si>
  <si>
    <t>1dr, 5k 2a, 2m</t>
  </si>
  <si>
    <t>1,5(1)dr; 7(8h)k, 5a, 5m</t>
  </si>
  <si>
    <t>2dr( 0,5+0,51), 2a, 7k (6 cu 8h, 1 cu 3,5), 2m, 1b</t>
  </si>
  <si>
    <r>
      <t>1dr, 3k,</t>
    </r>
    <r>
      <rPr>
        <b/>
        <sz val="8.5"/>
        <rFont val="Arial"/>
        <family val="2"/>
      </rPr>
      <t xml:space="preserve"> 6a</t>
    </r>
    <r>
      <rPr>
        <sz val="8.5"/>
        <rFont val="Arial"/>
        <family val="2"/>
      </rPr>
      <t>, 1m</t>
    </r>
  </si>
  <si>
    <t>val pct</t>
  </si>
  <si>
    <t xml:space="preserve"> </t>
  </si>
  <si>
    <t>suma rezultata 5 luni</t>
  </si>
  <si>
    <t>Valoare contract lunara</t>
  </si>
  <si>
    <t>1=9tab.1+2tab.2</t>
  </si>
  <si>
    <t>2=col.1/5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</si>
</sst>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0"/>
  </numFmts>
  <fonts count="5">
    <font>
      <sz val="10"/>
      <name val="Arial"/>
      <family val="0"/>
    </font>
    <font>
      <sz val="8.5"/>
      <name val="Arial"/>
      <family val="0"/>
    </font>
    <font>
      <b/>
      <sz val="8.5"/>
      <name val="Arial"/>
      <family val="2"/>
    </font>
    <font>
      <b/>
      <i/>
      <u val="single"/>
      <sz val="8.5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2" fontId="1" fillId="0" borderId="1" xfId="0" applyNumberFormat="1" applyFont="1" applyBorder="1" applyAlignment="1">
      <alignment horizontal="center" wrapText="1"/>
    </xf>
    <xf numFmtId="2" fontId="1" fillId="0" borderId="7" xfId="0" applyNumberFormat="1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8" xfId="0" applyFont="1" applyFill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164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4" fontId="2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 wrapText="1"/>
    </xf>
    <xf numFmtId="1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J27" sqref="J27"/>
    </sheetView>
  </sheetViews>
  <sheetFormatPr defaultColWidth="9.140625" defaultRowHeight="12.75"/>
  <cols>
    <col min="1" max="1" width="14.57421875" style="1" customWidth="1"/>
    <col min="2" max="2" width="18.28125" style="1" customWidth="1"/>
    <col min="3" max="3" width="10.28125" style="1" customWidth="1"/>
    <col min="4" max="4" width="11.8515625" style="1" customWidth="1"/>
    <col min="5" max="6" width="10.7109375" style="1" customWidth="1"/>
    <col min="7" max="7" width="11.7109375" style="1" customWidth="1"/>
    <col min="8" max="8" width="10.8515625" style="1" customWidth="1"/>
    <col min="9" max="9" width="10.421875" style="1" customWidth="1"/>
    <col min="10" max="10" width="7.8515625" style="1" customWidth="1"/>
    <col min="11" max="11" width="9.8515625" style="1" customWidth="1"/>
    <col min="12" max="12" width="10.28125" style="1" customWidth="1"/>
    <col min="13" max="13" width="10.140625" style="1" customWidth="1"/>
    <col min="14" max="14" width="10.7109375" style="1" customWidth="1"/>
    <col min="15" max="15" width="11.00390625" style="1" customWidth="1"/>
    <col min="16" max="16" width="10.57421875" style="1" customWidth="1"/>
    <col min="17" max="16384" width="9.140625" style="1" customWidth="1"/>
  </cols>
  <sheetData>
    <row r="1" spans="4:11" ht="11.25">
      <c r="D1" s="2" t="s">
        <v>0</v>
      </c>
      <c r="E1" s="2"/>
      <c r="F1" s="2"/>
      <c r="G1" s="2"/>
      <c r="H1" s="2"/>
      <c r="I1" s="2"/>
      <c r="J1" s="2"/>
      <c r="K1" s="3" t="s">
        <v>1</v>
      </c>
    </row>
    <row r="2" spans="1:5" ht="11.25">
      <c r="A2" s="1" t="s">
        <v>2</v>
      </c>
      <c r="C2" s="4">
        <v>1300010</v>
      </c>
      <c r="D2" s="5"/>
      <c r="E2" s="6"/>
    </row>
    <row r="3" spans="1:10" ht="11.25">
      <c r="A3" s="1" t="s">
        <v>3</v>
      </c>
      <c r="I3" s="4">
        <f>C2/2</f>
        <v>650005</v>
      </c>
      <c r="J3" s="7"/>
    </row>
    <row r="4" spans="1:12" s="14" customFormat="1" ht="31.5" customHeight="1">
      <c r="A4" s="8"/>
      <c r="B4" s="9" t="s">
        <v>4</v>
      </c>
      <c r="C4" s="10"/>
      <c r="D4" s="11"/>
      <c r="E4" s="9" t="s">
        <v>5</v>
      </c>
      <c r="F4" s="11"/>
      <c r="G4" s="12"/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</row>
    <row r="5" spans="1:13" s="19" customFormat="1" ht="45" customHeight="1">
      <c r="A5" s="15" t="s">
        <v>11</v>
      </c>
      <c r="B5" s="15" t="s">
        <v>12</v>
      </c>
      <c r="C5" s="15" t="s">
        <v>13</v>
      </c>
      <c r="D5" s="15" t="s">
        <v>14</v>
      </c>
      <c r="E5" s="15" t="s">
        <v>15</v>
      </c>
      <c r="F5" s="15" t="s">
        <v>16</v>
      </c>
      <c r="G5" s="16" t="s">
        <v>17</v>
      </c>
      <c r="H5" s="17"/>
      <c r="I5" s="18"/>
      <c r="J5" s="18"/>
      <c r="K5" s="18"/>
      <c r="L5" s="18"/>
      <c r="M5" s="1" t="s">
        <v>18</v>
      </c>
    </row>
    <row r="6" spans="1:12" s="23" customFormat="1" ht="13.5" customHeight="1">
      <c r="A6" s="20">
        <v>0</v>
      </c>
      <c r="B6" s="20">
        <v>1</v>
      </c>
      <c r="C6" s="20">
        <v>2</v>
      </c>
      <c r="D6" s="20">
        <v>3</v>
      </c>
      <c r="E6" s="20">
        <v>4</v>
      </c>
      <c r="F6" s="20">
        <v>5</v>
      </c>
      <c r="G6" s="21">
        <v>6</v>
      </c>
      <c r="H6" s="21">
        <v>7</v>
      </c>
      <c r="I6" s="22" t="s">
        <v>19</v>
      </c>
      <c r="J6" s="20" t="s">
        <v>20</v>
      </c>
      <c r="K6" s="20" t="s">
        <v>21</v>
      </c>
      <c r="L6" s="20" t="s">
        <v>22</v>
      </c>
    </row>
    <row r="7" spans="1:12" ht="11.25">
      <c r="A7" s="24" t="s">
        <v>23</v>
      </c>
      <c r="B7" s="24">
        <v>180</v>
      </c>
      <c r="C7" s="25">
        <f>20+20</f>
        <v>40</v>
      </c>
      <c r="D7" s="25">
        <v>0</v>
      </c>
      <c r="E7" s="25">
        <v>159</v>
      </c>
      <c r="F7" s="25">
        <v>182</v>
      </c>
      <c r="G7" s="25">
        <f aca="true" t="shared" si="0" ref="G7:G14">F21/E21</f>
        <v>1.0149253731343284</v>
      </c>
      <c r="H7" s="26">
        <f>F7*G7</f>
        <v>184.71641791044777</v>
      </c>
      <c r="I7" s="27">
        <f>IF((H7/E7)&gt;=1,1,(H7/E7))</f>
        <v>1</v>
      </c>
      <c r="J7" s="28">
        <f aca="true" t="shared" si="1" ref="J7:J14">I7*B7</f>
        <v>180</v>
      </c>
      <c r="K7" s="28">
        <f aca="true" t="shared" si="2" ref="K7:K14">C7+D7+J7</f>
        <v>220</v>
      </c>
      <c r="L7" s="28">
        <f aca="true" t="shared" si="3" ref="L7:L14">K7*$I$16</f>
        <v>64739.189091304186</v>
      </c>
    </row>
    <row r="8" spans="1:12" ht="11.25">
      <c r="A8" s="24" t="s">
        <v>24</v>
      </c>
      <c r="B8" s="25">
        <v>194</v>
      </c>
      <c r="C8" s="25">
        <v>85</v>
      </c>
      <c r="D8" s="25">
        <v>0</v>
      </c>
      <c r="E8" s="25">
        <v>85</v>
      </c>
      <c r="F8" s="25">
        <v>92</v>
      </c>
      <c r="G8" s="25">
        <f t="shared" si="0"/>
        <v>1</v>
      </c>
      <c r="H8" s="26">
        <f aca="true" t="shared" si="4" ref="H8:H14">F8*G8</f>
        <v>92</v>
      </c>
      <c r="I8" s="27">
        <f aca="true" t="shared" si="5" ref="I8:I14">IF((H8/E8)&gt;=1,1,(H8/E8))</f>
        <v>1</v>
      </c>
      <c r="J8" s="28">
        <f t="shared" si="1"/>
        <v>194</v>
      </c>
      <c r="K8" s="28">
        <f t="shared" si="2"/>
        <v>279</v>
      </c>
      <c r="L8" s="28">
        <f t="shared" si="3"/>
        <v>82101.06252942666</v>
      </c>
    </row>
    <row r="9" spans="1:12" s="31" customFormat="1" ht="11.25">
      <c r="A9" s="24" t="s">
        <v>25</v>
      </c>
      <c r="B9" s="29">
        <v>115</v>
      </c>
      <c r="C9" s="29">
        <v>20</v>
      </c>
      <c r="D9" s="29">
        <v>0</v>
      </c>
      <c r="E9" s="29">
        <v>58</v>
      </c>
      <c r="F9" s="29">
        <v>84</v>
      </c>
      <c r="G9" s="25">
        <f t="shared" si="0"/>
        <v>1</v>
      </c>
      <c r="H9" s="26">
        <f t="shared" si="4"/>
        <v>84</v>
      </c>
      <c r="I9" s="27">
        <f t="shared" si="5"/>
        <v>1</v>
      </c>
      <c r="J9" s="30">
        <f t="shared" si="1"/>
        <v>115</v>
      </c>
      <c r="K9" s="28">
        <f t="shared" si="2"/>
        <v>135</v>
      </c>
      <c r="L9" s="30">
        <f t="shared" si="3"/>
        <v>39726.32057875484</v>
      </c>
    </row>
    <row r="10" spans="1:13" s="31" customFormat="1" ht="11.25">
      <c r="A10" s="24" t="s">
        <v>26</v>
      </c>
      <c r="B10" s="29">
        <v>98</v>
      </c>
      <c r="C10" s="29">
        <v>10</v>
      </c>
      <c r="D10" s="29">
        <v>0</v>
      </c>
      <c r="E10" s="29">
        <v>64</v>
      </c>
      <c r="F10" s="29">
        <v>90</v>
      </c>
      <c r="G10" s="25">
        <f t="shared" si="0"/>
        <v>1.037037037037037</v>
      </c>
      <c r="H10" s="26">
        <f t="shared" si="4"/>
        <v>93.33333333333333</v>
      </c>
      <c r="I10" s="27">
        <f t="shared" si="5"/>
        <v>1</v>
      </c>
      <c r="J10" s="30">
        <f t="shared" si="1"/>
        <v>98</v>
      </c>
      <c r="K10" s="28">
        <f t="shared" si="2"/>
        <v>108</v>
      </c>
      <c r="L10" s="30">
        <f t="shared" si="3"/>
        <v>31781.05646300387</v>
      </c>
      <c r="M10" s="32"/>
    </row>
    <row r="11" spans="1:12" s="33" customFormat="1" ht="11.25">
      <c r="A11" s="24" t="s">
        <v>27</v>
      </c>
      <c r="B11" s="25">
        <f>47.88+60+30</f>
        <v>137.88</v>
      </c>
      <c r="C11" s="25">
        <f>40+10+20</f>
        <v>70</v>
      </c>
      <c r="D11" s="25">
        <v>0</v>
      </c>
      <c r="E11" s="25">
        <f>12+24+34</f>
        <v>70</v>
      </c>
      <c r="F11" s="25">
        <f>22+32+20</f>
        <v>74</v>
      </c>
      <c r="G11" s="25">
        <f t="shared" si="0"/>
        <v>1</v>
      </c>
      <c r="H11" s="26">
        <f t="shared" si="4"/>
        <v>74</v>
      </c>
      <c r="I11" s="27">
        <f t="shared" si="5"/>
        <v>1</v>
      </c>
      <c r="J11" s="30">
        <f t="shared" si="1"/>
        <v>137.88</v>
      </c>
      <c r="K11" s="28">
        <f t="shared" si="2"/>
        <v>207.88</v>
      </c>
      <c r="L11" s="30">
        <f t="shared" si="3"/>
        <v>61172.648310455974</v>
      </c>
    </row>
    <row r="12" spans="1:12" s="33" customFormat="1" ht="11.25">
      <c r="A12" s="34" t="s">
        <v>28</v>
      </c>
      <c r="B12" s="25">
        <v>510</v>
      </c>
      <c r="C12" s="25">
        <v>220</v>
      </c>
      <c r="D12" s="25">
        <v>0</v>
      </c>
      <c r="E12" s="25">
        <v>199</v>
      </c>
      <c r="F12" s="35">
        <v>200</v>
      </c>
      <c r="G12" s="25">
        <f t="shared" si="0"/>
        <v>1.054263565891473</v>
      </c>
      <c r="H12" s="25">
        <f t="shared" si="4"/>
        <v>210.8527131782946</v>
      </c>
      <c r="I12" s="27">
        <f t="shared" si="5"/>
        <v>1</v>
      </c>
      <c r="J12" s="30">
        <f t="shared" si="1"/>
        <v>510</v>
      </c>
      <c r="K12" s="28">
        <f t="shared" si="2"/>
        <v>730</v>
      </c>
      <c r="L12" s="30">
        <f t="shared" si="3"/>
        <v>214816.40016660024</v>
      </c>
    </row>
    <row r="13" spans="1:12" s="33" customFormat="1" ht="11.25">
      <c r="A13" s="34" t="s">
        <v>29</v>
      </c>
      <c r="B13" s="25">
        <f>215+30</f>
        <v>245</v>
      </c>
      <c r="C13" s="25">
        <v>120</v>
      </c>
      <c r="D13" s="25">
        <v>0</v>
      </c>
      <c r="E13" s="25">
        <v>86</v>
      </c>
      <c r="F13" s="35">
        <v>156</v>
      </c>
      <c r="G13" s="25">
        <f t="shared" si="0"/>
        <v>1.0280898876404494</v>
      </c>
      <c r="H13" s="25">
        <f t="shared" si="4"/>
        <v>160.38202247191012</v>
      </c>
      <c r="I13" s="27">
        <f t="shared" si="5"/>
        <v>1</v>
      </c>
      <c r="J13" s="30">
        <f t="shared" si="1"/>
        <v>245</v>
      </c>
      <c r="K13" s="28">
        <f t="shared" si="2"/>
        <v>365</v>
      </c>
      <c r="L13" s="30">
        <f t="shared" si="3"/>
        <v>107408.20008330012</v>
      </c>
    </row>
    <row r="14" spans="1:12" s="33" customFormat="1" ht="11.25">
      <c r="A14" s="34" t="s">
        <v>30</v>
      </c>
      <c r="B14" s="25">
        <v>119</v>
      </c>
      <c r="C14" s="25">
        <f>60/4*3</f>
        <v>45</v>
      </c>
      <c r="D14" s="25">
        <v>0</v>
      </c>
      <c r="E14" s="25">
        <v>69</v>
      </c>
      <c r="F14" s="36">
        <f>82+10</f>
        <v>92</v>
      </c>
      <c r="G14" s="25">
        <f t="shared" si="0"/>
        <v>1</v>
      </c>
      <c r="H14" s="25">
        <f t="shared" si="4"/>
        <v>92</v>
      </c>
      <c r="I14" s="27">
        <f t="shared" si="5"/>
        <v>1</v>
      </c>
      <c r="J14" s="30">
        <f t="shared" si="1"/>
        <v>119</v>
      </c>
      <c r="K14" s="28">
        <f t="shared" si="2"/>
        <v>164</v>
      </c>
      <c r="L14" s="30">
        <f t="shared" si="3"/>
        <v>48260.12277715403</v>
      </c>
    </row>
    <row r="15" spans="1:12" s="32" customFormat="1" ht="11.25">
      <c r="A15" s="37" t="s">
        <v>31</v>
      </c>
      <c r="B15" s="28">
        <f>SUM(B7:B14)</f>
        <v>1598.88</v>
      </c>
      <c r="C15" s="30">
        <f>SUM(C7:C14)</f>
        <v>610</v>
      </c>
      <c r="D15" s="30">
        <f>SUM(D7:D14)</f>
        <v>0</v>
      </c>
      <c r="E15" s="30">
        <f>SUM(E7:E14)</f>
        <v>790</v>
      </c>
      <c r="F15" s="30">
        <f>SUM(F7:F14)</f>
        <v>970</v>
      </c>
      <c r="G15" s="38"/>
      <c r="H15" s="38"/>
      <c r="I15" s="30">
        <f>SUM(I7:I14)</f>
        <v>8</v>
      </c>
      <c r="J15" s="30">
        <f>SUM(J7:J14)</f>
        <v>1598.88</v>
      </c>
      <c r="K15" s="30">
        <f>SUM(K7:K14)</f>
        <v>2208.88</v>
      </c>
      <c r="L15" s="30">
        <f>SUM(L7:L14)</f>
        <v>650005</v>
      </c>
    </row>
    <row r="16" spans="1:9" s="33" customFormat="1" ht="11.25">
      <c r="A16" s="39" t="s">
        <v>32</v>
      </c>
      <c r="B16" s="1"/>
      <c r="I16" s="40">
        <f>I3/K15</f>
        <v>294.26904132410993</v>
      </c>
    </row>
    <row r="17" spans="1:15" s="33" customFormat="1" ht="6" customHeight="1">
      <c r="A17" s="41"/>
      <c r="B17" s="1"/>
      <c r="L17" s="42"/>
      <c r="M17" s="42"/>
      <c r="N17" s="42"/>
      <c r="O17" s="42"/>
    </row>
    <row r="18" spans="1:16" s="33" customFormat="1" ht="11.25">
      <c r="A18" s="43" t="s">
        <v>33</v>
      </c>
      <c r="B18" s="1"/>
      <c r="D18" s="32">
        <f>C2/2</f>
        <v>650005</v>
      </c>
      <c r="M18" s="44"/>
      <c r="N18" s="44"/>
      <c r="O18" s="44"/>
      <c r="P18" s="44"/>
    </row>
    <row r="19" spans="1:14" s="42" customFormat="1" ht="33.75">
      <c r="A19" s="45" t="s">
        <v>11</v>
      </c>
      <c r="B19" s="46" t="s">
        <v>34</v>
      </c>
      <c r="C19" s="47" t="s">
        <v>35</v>
      </c>
      <c r="D19" s="47" t="s">
        <v>10</v>
      </c>
      <c r="E19" s="47" t="s">
        <v>36</v>
      </c>
      <c r="F19" s="47" t="s">
        <v>37</v>
      </c>
      <c r="G19" s="42" t="s">
        <v>38</v>
      </c>
      <c r="J19" s="33"/>
      <c r="K19" s="32"/>
      <c r="L19" s="32"/>
      <c r="M19" s="32"/>
      <c r="N19" s="48"/>
    </row>
    <row r="20" spans="1:14" s="44" customFormat="1" ht="11.25">
      <c r="A20" s="49">
        <v>0</v>
      </c>
      <c r="B20" s="20"/>
      <c r="C20" s="50">
        <v>1</v>
      </c>
      <c r="D20" s="50" t="s">
        <v>39</v>
      </c>
      <c r="E20" s="50"/>
      <c r="F20" s="50"/>
      <c r="J20" s="33"/>
      <c r="K20" s="32"/>
      <c r="L20" s="32"/>
      <c r="M20" s="32"/>
      <c r="N20" s="51"/>
    </row>
    <row r="21" spans="1:14" s="33" customFormat="1" ht="11.25">
      <c r="A21" s="24" t="s">
        <v>23</v>
      </c>
      <c r="B21" s="52" t="s">
        <v>40</v>
      </c>
      <c r="C21" s="53">
        <v>227.28</v>
      </c>
      <c r="D21" s="30">
        <f aca="true" t="shared" si="6" ref="D21:D28">C21*$C$30</f>
        <v>109339.62165282649</v>
      </c>
      <c r="E21" s="25">
        <f>2*35+15*40</f>
        <v>670</v>
      </c>
      <c r="F21" s="25">
        <f>2*40+15*40</f>
        <v>680</v>
      </c>
      <c r="K21" s="32"/>
      <c r="L21" s="32"/>
      <c r="M21" s="32"/>
      <c r="N21" s="32"/>
    </row>
    <row r="22" spans="1:14" s="33" customFormat="1" ht="11.25">
      <c r="A22" s="24" t="s">
        <v>24</v>
      </c>
      <c r="B22" s="33" t="s">
        <v>41</v>
      </c>
      <c r="C22" s="53">
        <v>171.41</v>
      </c>
      <c r="D22" s="30">
        <f t="shared" si="6"/>
        <v>82461.74123332888</v>
      </c>
      <c r="E22" s="25">
        <f>4*40+5*35+1*40</f>
        <v>375</v>
      </c>
      <c r="F22" s="25">
        <f>4*40+5*35+1*40</f>
        <v>375</v>
      </c>
      <c r="K22" s="32"/>
      <c r="L22" s="32"/>
      <c r="M22" s="32"/>
      <c r="N22" s="32"/>
    </row>
    <row r="23" spans="1:14" s="33" customFormat="1" ht="12.75" customHeight="1">
      <c r="A23" s="24" t="s">
        <v>25</v>
      </c>
      <c r="B23" s="52" t="s">
        <v>42</v>
      </c>
      <c r="C23" s="54">
        <v>120</v>
      </c>
      <c r="D23" s="30">
        <f t="shared" si="6"/>
        <v>57729.472889559926</v>
      </c>
      <c r="E23" s="25">
        <f>35+9*40</f>
        <v>395</v>
      </c>
      <c r="F23" s="25">
        <v>395</v>
      </c>
      <c r="K23" s="32"/>
      <c r="L23" s="32"/>
      <c r="M23" s="32"/>
      <c r="N23" s="32"/>
    </row>
    <row r="24" spans="1:14" s="33" customFormat="1" ht="11.25">
      <c r="A24" s="24" t="s">
        <v>26</v>
      </c>
      <c r="B24" s="55" t="s">
        <v>43</v>
      </c>
      <c r="C24" s="53">
        <v>109.28</v>
      </c>
      <c r="D24" s="30">
        <f t="shared" si="6"/>
        <v>52572.306644759235</v>
      </c>
      <c r="E24" s="25">
        <f>2*35+5*40</f>
        <v>270</v>
      </c>
      <c r="F24" s="25">
        <f>2*40+5*40</f>
        <v>280</v>
      </c>
      <c r="K24" s="32"/>
      <c r="L24" s="32"/>
      <c r="M24" s="32"/>
      <c r="N24" s="32"/>
    </row>
    <row r="25" spans="1:14" s="33" customFormat="1" ht="11.25">
      <c r="A25" s="24" t="s">
        <v>27</v>
      </c>
      <c r="B25" s="52" t="s">
        <v>44</v>
      </c>
      <c r="C25" s="56">
        <f>47.07+62.07+36.36</f>
        <v>145.5</v>
      </c>
      <c r="D25" s="30">
        <f t="shared" si="6"/>
        <v>69996.98587859141</v>
      </c>
      <c r="E25" s="25">
        <f>5*35+2*40+2*40</f>
        <v>335</v>
      </c>
      <c r="F25" s="25">
        <v>335</v>
      </c>
      <c r="K25" s="32"/>
      <c r="L25" s="32"/>
      <c r="M25" s="32"/>
      <c r="N25" s="32"/>
    </row>
    <row r="26" spans="1:14" ht="13.5" customHeight="1">
      <c r="A26" s="34" t="s">
        <v>28</v>
      </c>
      <c r="B26" s="52" t="s">
        <v>45</v>
      </c>
      <c r="C26" s="56">
        <v>251.98</v>
      </c>
      <c r="D26" s="30">
        <f t="shared" si="6"/>
        <v>121222.27148926091</v>
      </c>
      <c r="E26" s="25">
        <f>5*40+7*35+5*40</f>
        <v>645</v>
      </c>
      <c r="F26" s="25">
        <f>5*40+7*40+5*40</f>
        <v>680</v>
      </c>
      <c r="K26" s="4"/>
      <c r="L26" s="4"/>
      <c r="M26" s="4"/>
      <c r="N26" s="4"/>
    </row>
    <row r="27" spans="1:14" ht="27.75" customHeight="1">
      <c r="A27" s="34" t="s">
        <v>29</v>
      </c>
      <c r="B27" s="52" t="s">
        <v>46</v>
      </c>
      <c r="C27" s="53">
        <v>185.69</v>
      </c>
      <c r="D27" s="30">
        <f t="shared" si="6"/>
        <v>89331.54850718653</v>
      </c>
      <c r="E27" s="25">
        <f>2*40+7*35+2*40+1*40</f>
        <v>445</v>
      </c>
      <c r="F27" s="25">
        <f>2*40+6*40+1*17.5+2*40+1*40</f>
        <v>457.5</v>
      </c>
      <c r="K27" s="4"/>
      <c r="L27" s="4"/>
      <c r="M27" s="4"/>
      <c r="N27" s="4"/>
    </row>
    <row r="28" spans="1:6" ht="11.25">
      <c r="A28" s="24" t="s">
        <v>30</v>
      </c>
      <c r="B28" s="52" t="s">
        <v>47</v>
      </c>
      <c r="C28" s="57">
        <v>140</v>
      </c>
      <c r="D28" s="30">
        <f t="shared" si="6"/>
        <v>67351.05170448658</v>
      </c>
      <c r="E28" s="25">
        <f>6*40+3*35+1*40</f>
        <v>385</v>
      </c>
      <c r="F28" s="25">
        <f>6*40+3*35+1*40</f>
        <v>385</v>
      </c>
    </row>
    <row r="29" spans="1:8" ht="11.25">
      <c r="A29" s="58" t="s">
        <v>31</v>
      </c>
      <c r="B29" s="28">
        <f>SUM(B21:B28)</f>
        <v>0</v>
      </c>
      <c r="C29" s="28">
        <f>SUM(C21:C28)</f>
        <v>1351.14</v>
      </c>
      <c r="D29" s="28">
        <f>SUM(D21:D28)</f>
        <v>650005</v>
      </c>
      <c r="H29" s="4"/>
    </row>
    <row r="30" spans="1:16" ht="11.25">
      <c r="A30" s="39" t="s">
        <v>48</v>
      </c>
      <c r="C30" s="59">
        <f>D18/C29</f>
        <v>481.0789407463327</v>
      </c>
      <c r="M30" s="60"/>
      <c r="N30" s="60"/>
      <c r="O30" s="60"/>
      <c r="P30" s="60"/>
    </row>
    <row r="31" spans="1:14" s="63" customFormat="1" ht="11.25">
      <c r="A31" s="61" t="s">
        <v>49</v>
      </c>
      <c r="B31" s="1"/>
      <c r="C31" s="1"/>
      <c r="D31" s="62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3" s="60" customFormat="1" ht="33.75">
      <c r="A32" s="45" t="s">
        <v>11</v>
      </c>
      <c r="B32" s="64" t="s">
        <v>50</v>
      </c>
      <c r="C32" s="65" t="s">
        <v>51</v>
      </c>
    </row>
    <row r="33" spans="1:3" s="67" customFormat="1" ht="11.25">
      <c r="A33" s="66">
        <v>0</v>
      </c>
      <c r="B33" s="66" t="s">
        <v>52</v>
      </c>
      <c r="C33" s="66" t="s">
        <v>53</v>
      </c>
    </row>
    <row r="34" spans="1:5" ht="11.25">
      <c r="A34" s="34" t="s">
        <v>23</v>
      </c>
      <c r="B34" s="28">
        <f aca="true" t="shared" si="7" ref="B34:B41">L7+D21</f>
        <v>174078.8107441307</v>
      </c>
      <c r="C34" s="28">
        <f>ROUND((B34/5),2)</f>
        <v>34815.76</v>
      </c>
      <c r="D34" s="4"/>
      <c r="E34" s="4"/>
    </row>
    <row r="35" spans="1:5" ht="11.25">
      <c r="A35" s="34" t="s">
        <v>24</v>
      </c>
      <c r="B35" s="28">
        <f t="shared" si="7"/>
        <v>164562.80376275553</v>
      </c>
      <c r="C35" s="28">
        <f aca="true" t="shared" si="8" ref="C35:C41">ROUND((B35/5),2)</f>
        <v>32912.56</v>
      </c>
      <c r="D35" s="4"/>
      <c r="E35" s="4"/>
    </row>
    <row r="36" spans="1:5" ht="11.25">
      <c r="A36" s="34" t="s">
        <v>25</v>
      </c>
      <c r="B36" s="28">
        <f t="shared" si="7"/>
        <v>97455.79346831478</v>
      </c>
      <c r="C36" s="28">
        <f t="shared" si="8"/>
        <v>19491.16</v>
      </c>
      <c r="D36" s="4"/>
      <c r="E36" s="4"/>
    </row>
    <row r="37" spans="1:5" ht="11.25">
      <c r="A37" s="34" t="s">
        <v>26</v>
      </c>
      <c r="B37" s="28">
        <f t="shared" si="7"/>
        <v>84353.36310776311</v>
      </c>
      <c r="C37" s="28">
        <f t="shared" si="8"/>
        <v>16870.67</v>
      </c>
      <c r="D37" s="4"/>
      <c r="E37" s="4"/>
    </row>
    <row r="38" spans="1:5" s="69" customFormat="1" ht="11.25">
      <c r="A38" s="68" t="s">
        <v>27</v>
      </c>
      <c r="B38" s="28">
        <f t="shared" si="7"/>
        <v>131169.63418904739</v>
      </c>
      <c r="C38" s="28">
        <f t="shared" si="8"/>
        <v>26233.93</v>
      </c>
      <c r="D38" s="72"/>
      <c r="E38" s="4"/>
    </row>
    <row r="39" spans="1:5" ht="11.25">
      <c r="A39" s="34" t="s">
        <v>28</v>
      </c>
      <c r="B39" s="28">
        <f t="shared" si="7"/>
        <v>336038.67165586114</v>
      </c>
      <c r="C39" s="28">
        <f t="shared" si="8"/>
        <v>67207.73</v>
      </c>
      <c r="D39" s="4"/>
      <c r="E39" s="4"/>
    </row>
    <row r="40" spans="1:5" ht="11.25">
      <c r="A40" s="34" t="s">
        <v>29</v>
      </c>
      <c r="B40" s="28">
        <f t="shared" si="7"/>
        <v>196739.74859048665</v>
      </c>
      <c r="C40" s="28">
        <f t="shared" si="8"/>
        <v>39347.95</v>
      </c>
      <c r="D40" s="4"/>
      <c r="E40" s="4"/>
    </row>
    <row r="41" spans="1:5" ht="11.25">
      <c r="A41" s="34" t="s">
        <v>30</v>
      </c>
      <c r="B41" s="28">
        <f t="shared" si="7"/>
        <v>115611.17448164061</v>
      </c>
      <c r="C41" s="28">
        <f t="shared" si="8"/>
        <v>23122.23</v>
      </c>
      <c r="D41" s="4"/>
      <c r="E41" s="4"/>
    </row>
    <row r="42" spans="1:5" ht="11.25">
      <c r="A42" s="58" t="s">
        <v>31</v>
      </c>
      <c r="B42" s="28">
        <f>SUM(B34:B41)</f>
        <v>1300009.9999999998</v>
      </c>
      <c r="C42" s="28">
        <f>SUM(C34:C41)+0.01</f>
        <v>260002.00000000003</v>
      </c>
      <c r="E42" s="4"/>
    </row>
    <row r="43" spans="1:7" ht="11.25">
      <c r="A43" s="41"/>
      <c r="D43" s="70"/>
      <c r="E43" s="60"/>
      <c r="F43" s="70"/>
      <c r="G43" s="60"/>
    </row>
    <row r="44" ht="11.25">
      <c r="F44" s="71"/>
    </row>
    <row r="47" spans="3:6" s="60" customFormat="1" ht="11.25">
      <c r="C47" s="1"/>
      <c r="D47" s="1"/>
      <c r="E47" s="1"/>
      <c r="F47" s="1"/>
    </row>
  </sheetData>
  <mergeCells count="8">
    <mergeCell ref="K4:K5"/>
    <mergeCell ref="L4:L5"/>
    <mergeCell ref="D1:J1"/>
    <mergeCell ref="B4:D4"/>
    <mergeCell ref="E4:F4"/>
    <mergeCell ref="H4:H5"/>
    <mergeCell ref="I4:I5"/>
    <mergeCell ref="J4:J5"/>
  </mergeCells>
  <printOptions/>
  <pageMargins left="0.16" right="0.24" top="0.71" bottom="0.33" header="0.5" footer="0.23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 Adrian</dc:creator>
  <cp:keywords/>
  <dc:description/>
  <cp:lastModifiedBy>Neacsu Adrian</cp:lastModifiedBy>
  <cp:lastPrinted>2019-07-23T06:44:01Z</cp:lastPrinted>
  <dcterms:created xsi:type="dcterms:W3CDTF">2019-07-23T06:43:32Z</dcterms:created>
  <dcterms:modified xsi:type="dcterms:W3CDTF">2019-07-23T06:45:41Z</dcterms:modified>
  <cp:category/>
  <cp:version/>
  <cp:contentType/>
  <cp:contentStatus/>
</cp:coreProperties>
</file>